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rollj01/Dropbox (NYU Langone Health)/Prototropy paper/elife_revisions/file upload/source data/"/>
    </mc:Choice>
  </mc:AlternateContent>
  <xr:revisionPtr revIDLastSave="0" documentId="13_ncr:1_{DFA5B029-45C4-9841-B30D-C41D89A600B8}" xr6:coauthVersionLast="36" xr6:coauthVersionMax="36" xr10:uidLastSave="{00000000-0000-0000-0000-000000000000}"/>
  <bookViews>
    <workbookView xWindow="0" yWindow="500" windowWidth="33600" windowHeight="19240" xr2:uid="{70C333DC-8939-2E48-853B-D32D1A66A81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7" i="1" l="1"/>
  <c r="V16" i="1"/>
  <c r="V15" i="1"/>
  <c r="B89" i="1" l="1"/>
  <c r="C89" i="1" s="1"/>
  <c r="D89" i="1" s="1"/>
  <c r="B88" i="1"/>
  <c r="C88" i="1" s="1"/>
  <c r="D88" i="1" s="1"/>
  <c r="B87" i="1"/>
  <c r="C87" i="1" s="1"/>
  <c r="D87" i="1" s="1"/>
  <c r="B83" i="1"/>
  <c r="C83" i="1" s="1"/>
  <c r="U6" i="1" s="1"/>
  <c r="B82" i="1"/>
  <c r="C82" i="1" s="1"/>
  <c r="U5" i="1" s="1"/>
  <c r="B81" i="1"/>
  <c r="C81" i="1" s="1"/>
  <c r="B77" i="1"/>
  <c r="C77" i="1" s="1"/>
  <c r="E77" i="1" s="1"/>
  <c r="B76" i="1"/>
  <c r="C76" i="1" s="1"/>
  <c r="B75" i="1"/>
  <c r="C75" i="1" s="1"/>
  <c r="B71" i="1"/>
  <c r="C71" i="1" s="1"/>
  <c r="E71" i="1" s="1"/>
  <c r="B70" i="1"/>
  <c r="C70" i="1" s="1"/>
  <c r="B69" i="1"/>
  <c r="C69" i="1" s="1"/>
  <c r="E69" i="1" s="1"/>
  <c r="B65" i="1"/>
  <c r="C65" i="1" s="1"/>
  <c r="B64" i="1"/>
  <c r="C64" i="1" s="1"/>
  <c r="R8" i="1" s="1"/>
  <c r="B63" i="1"/>
  <c r="C63" i="1" s="1"/>
  <c r="E63" i="1" s="1"/>
  <c r="B62" i="1"/>
  <c r="C62" i="1" s="1"/>
  <c r="B61" i="1"/>
  <c r="C61" i="1" s="1"/>
  <c r="B60" i="1"/>
  <c r="C60" i="1" s="1"/>
  <c r="B56" i="1"/>
  <c r="C56" i="1" s="1"/>
  <c r="Q9" i="1" s="1"/>
  <c r="B55" i="1"/>
  <c r="C55" i="1" s="1"/>
  <c r="E55" i="1" s="1"/>
  <c r="B54" i="1"/>
  <c r="C54" i="1" s="1"/>
  <c r="B50" i="1"/>
  <c r="C50" i="1" s="1"/>
  <c r="B49" i="1"/>
  <c r="C49" i="1" s="1"/>
  <c r="B48" i="1"/>
  <c r="C48" i="1" s="1"/>
  <c r="B47" i="1"/>
  <c r="C47" i="1" s="1"/>
  <c r="P6" i="1" s="1"/>
  <c r="B46" i="1"/>
  <c r="C46" i="1" s="1"/>
  <c r="D45" i="1"/>
  <c r="B45" i="1"/>
  <c r="C45" i="1" s="1"/>
  <c r="P4" i="1" s="1"/>
  <c r="B41" i="1"/>
  <c r="C41" i="1" s="1"/>
  <c r="B40" i="1"/>
  <c r="C40" i="1" s="1"/>
  <c r="E40" i="1" s="1"/>
  <c r="B39" i="1"/>
  <c r="C39" i="1" s="1"/>
  <c r="O7" i="1" s="1"/>
  <c r="O15" i="1" s="1"/>
  <c r="B35" i="1"/>
  <c r="C35" i="1" s="1"/>
  <c r="E35" i="1" s="1"/>
  <c r="B34" i="1"/>
  <c r="C34" i="1" s="1"/>
  <c r="B33" i="1"/>
  <c r="C33" i="1" s="1"/>
  <c r="B32" i="1"/>
  <c r="C32" i="1" s="1"/>
  <c r="B31" i="1"/>
  <c r="C31" i="1" s="1"/>
  <c r="B30" i="1"/>
  <c r="C30" i="1" s="1"/>
  <c r="E30" i="1" s="1"/>
  <c r="B26" i="1"/>
  <c r="C26" i="1" s="1"/>
  <c r="E26" i="1" s="1"/>
  <c r="B25" i="1"/>
  <c r="C25" i="1" s="1"/>
  <c r="M8" i="1" s="1"/>
  <c r="M16" i="1" s="1"/>
  <c r="B24" i="1"/>
  <c r="C24" i="1" s="1"/>
  <c r="B23" i="1"/>
  <c r="C23" i="1" s="1"/>
  <c r="E23" i="1" s="1"/>
  <c r="B22" i="1"/>
  <c r="C22" i="1" s="1"/>
  <c r="B21" i="1"/>
  <c r="C21" i="1" s="1"/>
  <c r="B17" i="1"/>
  <c r="C17" i="1" s="1"/>
  <c r="L9" i="1" s="1"/>
  <c r="B16" i="1"/>
  <c r="C16" i="1" s="1"/>
  <c r="B15" i="1"/>
  <c r="C15" i="1" s="1"/>
  <c r="E15" i="1" s="1"/>
  <c r="K17" i="1"/>
  <c r="B14" i="1"/>
  <c r="C14" i="1" s="1"/>
  <c r="K16" i="1"/>
  <c r="B13" i="1"/>
  <c r="C13" i="1" s="1"/>
  <c r="E13" i="1" s="1"/>
  <c r="K15" i="1"/>
  <c r="B12" i="1"/>
  <c r="C12" i="1" s="1"/>
  <c r="E12" i="1" s="1"/>
  <c r="K14" i="1"/>
  <c r="K13" i="1"/>
  <c r="K12" i="1"/>
  <c r="B8" i="1"/>
  <c r="C8" i="1" s="1"/>
  <c r="Q8" i="1"/>
  <c r="B7" i="1"/>
  <c r="C7" i="1" s="1"/>
  <c r="B6" i="1"/>
  <c r="C6" i="1" s="1"/>
  <c r="B5" i="1"/>
  <c r="C5" i="1" s="1"/>
  <c r="B4" i="1"/>
  <c r="C4" i="1" s="1"/>
  <c r="B3" i="1"/>
  <c r="C3" i="1" s="1"/>
  <c r="L7" i="1" l="1"/>
  <c r="S7" i="1"/>
  <c r="S15" i="1" s="1"/>
  <c r="L4" i="1"/>
  <c r="N9" i="1"/>
  <c r="N17" i="1" s="1"/>
  <c r="S9" i="1"/>
  <c r="S17" i="1" s="1"/>
  <c r="U4" i="1"/>
  <c r="U12" i="1" s="1"/>
  <c r="E22" i="1"/>
  <c r="M5" i="1"/>
  <c r="M13" i="1" s="1"/>
  <c r="L6" i="1"/>
  <c r="L14" i="1" s="1"/>
  <c r="E14" i="1"/>
  <c r="E34" i="1"/>
  <c r="N8" i="1"/>
  <c r="N16" i="1" s="1"/>
  <c r="Q17" i="1"/>
  <c r="P8" i="1"/>
  <c r="E49" i="1"/>
  <c r="E61" i="1"/>
  <c r="R5" i="1"/>
  <c r="T7" i="1"/>
  <c r="T15" i="1" s="1"/>
  <c r="E75" i="1"/>
  <c r="P14" i="1"/>
  <c r="R7" i="1"/>
  <c r="R15" i="1" s="1"/>
  <c r="E17" i="1"/>
  <c r="T9" i="1"/>
  <c r="P9" i="1"/>
  <c r="E50" i="1"/>
  <c r="P12" i="1"/>
  <c r="E24" i="1"/>
  <c r="M7" i="1"/>
  <c r="R6" i="1"/>
  <c r="E62" i="1"/>
  <c r="E21" i="1"/>
  <c r="M4" i="1"/>
  <c r="S8" i="1"/>
  <c r="E70" i="1"/>
  <c r="R16" i="1"/>
  <c r="E16" i="1"/>
  <c r="L8" i="1"/>
  <c r="E64" i="1"/>
  <c r="N5" i="1"/>
  <c r="E31" i="1"/>
  <c r="E33" i="1"/>
  <c r="N7" i="1"/>
  <c r="R9" i="1"/>
  <c r="E65" i="1"/>
  <c r="E25" i="1"/>
  <c r="E41" i="1"/>
  <c r="O9" i="1"/>
  <c r="N4" i="1"/>
  <c r="E45" i="1"/>
  <c r="Q7" i="1"/>
  <c r="E54" i="1"/>
  <c r="E60" i="1"/>
  <c r="R4" i="1"/>
  <c r="E46" i="1"/>
  <c r="P5" i="1"/>
  <c r="M6" i="1"/>
  <c r="M9" i="1"/>
  <c r="E76" i="1"/>
  <c r="T8" i="1"/>
  <c r="U13" i="1"/>
  <c r="Q16" i="1"/>
  <c r="L15" i="1"/>
  <c r="L17" i="1"/>
  <c r="E32" i="1"/>
  <c r="N6" i="1"/>
  <c r="U14" i="1"/>
  <c r="P7" i="1"/>
  <c r="E48" i="1"/>
  <c r="L12" i="1"/>
  <c r="L5" i="1"/>
  <c r="O8" i="1"/>
  <c r="E39" i="1"/>
  <c r="E47" i="1"/>
  <c r="E56" i="1"/>
  <c r="T17" i="1" l="1"/>
  <c r="P16" i="1"/>
  <c r="R13" i="1"/>
  <c r="M14" i="1"/>
  <c r="R12" i="1"/>
  <c r="O17" i="1"/>
  <c r="S16" i="1"/>
  <c r="P13" i="1"/>
  <c r="N15" i="1"/>
  <c r="M12" i="1"/>
  <c r="P15" i="1"/>
  <c r="Q15" i="1"/>
  <c r="L16" i="1"/>
  <c r="P17" i="1"/>
  <c r="L13" i="1"/>
  <c r="N13" i="1"/>
  <c r="R14" i="1"/>
  <c r="N14" i="1"/>
  <c r="N12" i="1"/>
  <c r="R17" i="1"/>
  <c r="O16" i="1"/>
  <c r="T16" i="1"/>
  <c r="M17" i="1"/>
  <c r="M15" i="1"/>
</calcChain>
</file>

<file path=xl/sharedStrings.xml><?xml version="1.0" encoding="utf-8"?>
<sst xmlns="http://schemas.openxmlformats.org/spreadsheetml/2006/main" count="162" uniqueCount="36">
  <si>
    <t>Count</t>
  </si>
  <si>
    <t>Actual</t>
  </si>
  <si>
    <t>Day 0</t>
  </si>
  <si>
    <t>Day 4</t>
  </si>
  <si>
    <t>Day 7</t>
  </si>
  <si>
    <t>Day 11</t>
  </si>
  <si>
    <t>Day 15</t>
  </si>
  <si>
    <t>Day 19</t>
  </si>
  <si>
    <t>Day 23</t>
  </si>
  <si>
    <t>Day 29</t>
  </si>
  <si>
    <t>Day 33</t>
  </si>
  <si>
    <t>Day 36</t>
  </si>
  <si>
    <t>Day 38</t>
  </si>
  <si>
    <t>PDL</t>
  </si>
  <si>
    <t>Counted cells on day 4 and replated 1 mil of each. Counts were 50ul in 500ul total.</t>
  </si>
  <si>
    <t>Replated (volume)</t>
  </si>
  <si>
    <t>Replated (cells)</t>
  </si>
  <si>
    <t>Counted cells on day 11 (4/15/22) and replated 1mil of each. Counts were 50ul in 1000ul total.</t>
  </si>
  <si>
    <t>24 well</t>
  </si>
  <si>
    <t>ended</t>
  </si>
  <si>
    <t>Collected for metabolomiccs</t>
  </si>
  <si>
    <t>Counted cells on day 7 and replated 1 mil of each. Counts were 50ul in 1000ul total.</t>
  </si>
  <si>
    <t>Plated 250k of each indicated cell type on 4/3/22. Counted 3 wells of each cell type on day 0 (4/4/22) and switched remainder of wells to valine-free RPMI (0.06mM Ile) + 2mM sodium pyruvate.</t>
  </si>
  <si>
    <t>Cumulative cell number</t>
  </si>
  <si>
    <t>-</t>
  </si>
  <si>
    <t>pMTIV</t>
  </si>
  <si>
    <t>pMTIV-ilvD+</t>
  </si>
  <si>
    <t>Day 39</t>
  </si>
  <si>
    <t>Counted pMTIV-ilvD+ cells on day 15 (4/15/22) and replated 1mil of each. Counts were 50ul in 1000ul total.</t>
  </si>
  <si>
    <t>Counted cells on day 19 (4/23/22) and replated 1mil of each. Counts were 50ul in 1000ul total.</t>
  </si>
  <si>
    <t>Counted cells on day 23 (4/27/22) and replated 1mil of each. Counts were 50ul in 1000ul total.</t>
  </si>
  <si>
    <t>Counted cells on day 29 (5/3/22) and replated 1mil of each. Resuspended pMTIV cells in 500 and pMTIV-ilvD+ cells in 1000ul. Counts were 50ul in 500ultotal.</t>
  </si>
  <si>
    <t>Counted pMTIV-ilvD+ cells on day 33 (5/7/22) and replated 1 mil. Resuspended cells in 1mil and counted 50ul in 500ul total.</t>
  </si>
  <si>
    <t>Counted pMTIV-ilvD+ cells on day 36 (5/10/22) and replated 1 mil. Resuspended cells in 1mil and counted 20ul in 500ul total.</t>
  </si>
  <si>
    <t>On day 38 5/12/22 counted each pMTIV well (50ul out of 500ul total counted in 500ul total).</t>
  </si>
  <si>
    <t>Counted pMTIV-ilvD+ cells on day 39 (5/13/22) and replated 1 mil. Resuspended cells in 1mil and counted 20ul in 500ul total.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</si>
</sst>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1" fontId="0" fillId="0" borderId="0" xfId="0" applyNumberFormat="1"/>
    <xf numFmtId="1" fontId="0" fillId="0" borderId="0" xfId="0" applyNumberFormat="1"/>
    <xf numFmtId="2" fontId="0" fillId="0" borderId="0" xfId="0" applyNumberFormat="1"/>
    <xf numFmtId="0" fontId="2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23A0C-ECDA-4B47-82EE-6E60966ED25A}">
  <dimension ref="A1:V89"/>
  <sheetViews>
    <sheetView tabSelected="1" zoomScale="75" workbookViewId="0">
      <selection activeCell="A86" sqref="A86"/>
    </sheetView>
  </sheetViews>
  <sheetFormatPr baseColWidth="10" defaultRowHeight="16" x14ac:dyDescent="0.2"/>
  <cols>
    <col min="1" max="1" width="29" customWidth="1"/>
    <col min="4" max="4" width="24.83203125" bestFit="1" customWidth="1"/>
    <col min="5" max="5" width="14" bestFit="1" customWidth="1"/>
    <col min="10" max="10" width="20.83203125" bestFit="1" customWidth="1"/>
  </cols>
  <sheetData>
    <row r="1" spans="1:22" x14ac:dyDescent="0.2">
      <c r="A1" s="1" t="s">
        <v>22</v>
      </c>
    </row>
    <row r="2" spans="1:22" x14ac:dyDescent="0.2">
      <c r="B2" t="s">
        <v>0</v>
      </c>
      <c r="C2" t="s">
        <v>1</v>
      </c>
    </row>
    <row r="3" spans="1:22" x14ac:dyDescent="0.2">
      <c r="A3" t="s">
        <v>25</v>
      </c>
      <c r="B3">
        <f>6.099*10^4</f>
        <v>60990</v>
      </c>
      <c r="C3">
        <f>B3*20/2</f>
        <v>609900</v>
      </c>
      <c r="J3" s="1" t="s">
        <v>23</v>
      </c>
      <c r="K3" t="s">
        <v>2</v>
      </c>
      <c r="L3" t="s">
        <v>3</v>
      </c>
      <c r="M3" t="s">
        <v>4</v>
      </c>
      <c r="N3" t="s">
        <v>5</v>
      </c>
      <c r="O3" t="s">
        <v>6</v>
      </c>
      <c r="P3" t="s">
        <v>7</v>
      </c>
      <c r="Q3" t="s">
        <v>8</v>
      </c>
      <c r="R3" t="s">
        <v>9</v>
      </c>
      <c r="S3" t="s">
        <v>10</v>
      </c>
      <c r="T3" t="s">
        <v>11</v>
      </c>
      <c r="U3" t="s">
        <v>12</v>
      </c>
      <c r="V3" t="s">
        <v>27</v>
      </c>
    </row>
    <row r="4" spans="1:22" x14ac:dyDescent="0.2">
      <c r="A4" t="s">
        <v>25</v>
      </c>
      <c r="B4">
        <f>4.906*10^4</f>
        <v>49060</v>
      </c>
      <c r="C4">
        <f t="shared" ref="C4:C8" si="0">B4*20/2</f>
        <v>490600</v>
      </c>
      <c r="E4" s="3"/>
      <c r="J4" t="s">
        <v>25</v>
      </c>
      <c r="K4" s="2">
        <v>553233.33333333337</v>
      </c>
      <c r="L4" s="2">
        <f>C12</f>
        <v>1647000</v>
      </c>
      <c r="M4" s="2">
        <f>C21*1/D12</f>
        <v>2419471.9471947197</v>
      </c>
      <c r="N4" s="2">
        <f>C30*1/D12*1/D21</f>
        <v>4707554.0887422068</v>
      </c>
      <c r="O4" s="2"/>
      <c r="P4" s="2">
        <f>C45*1/D12*1/D21*1/D30</f>
        <v>12417566.893301353</v>
      </c>
      <c r="R4" s="2">
        <f>C60*1/D12*1/D21*1/D30*1/D45</f>
        <v>5244639.811263266</v>
      </c>
      <c r="S4" s="2"/>
      <c r="U4" s="2">
        <f>C81*0.5/D60*1/D12*1/D21*1/D30*1/D45</f>
        <v>878192.04778625036</v>
      </c>
    </row>
    <row r="5" spans="1:22" x14ac:dyDescent="0.2">
      <c r="A5" t="s">
        <v>25</v>
      </c>
      <c r="B5">
        <f>5.592*10^4</f>
        <v>55920</v>
      </c>
      <c r="C5">
        <f t="shared" si="0"/>
        <v>559200</v>
      </c>
      <c r="J5" t="s">
        <v>25</v>
      </c>
      <c r="K5" s="2">
        <v>553233.33333333337</v>
      </c>
      <c r="L5" s="2">
        <f>C13</f>
        <v>1461000</v>
      </c>
      <c r="M5" s="2">
        <f>C22*1/D13</f>
        <v>2335860.0583090377</v>
      </c>
      <c r="N5" s="2">
        <f>C31*1/D13*1/D22</f>
        <v>3691281.1151381955</v>
      </c>
      <c r="P5" s="2">
        <f>C46*1/D13*1/D22*1/D31</f>
        <v>8795094.2426471226</v>
      </c>
      <c r="R5" s="2">
        <f>C61*1/D13*1/D22*1/D31*1/D46</f>
        <v>2487477.4258896122</v>
      </c>
      <c r="U5" s="2">
        <f>C82*0.5/D61*1/D13*1/D22*1/D31*1/D46</f>
        <v>465104.70100227318</v>
      </c>
    </row>
    <row r="6" spans="1:22" x14ac:dyDescent="0.2">
      <c r="A6" t="s">
        <v>26</v>
      </c>
      <c r="B6">
        <f>6.176*10^4</f>
        <v>61760</v>
      </c>
      <c r="C6">
        <f t="shared" si="0"/>
        <v>617600</v>
      </c>
      <c r="J6" t="s">
        <v>25</v>
      </c>
      <c r="K6" s="2">
        <v>553233.33333333337</v>
      </c>
      <c r="L6" s="2">
        <f>C14</f>
        <v>1871000</v>
      </c>
      <c r="M6" s="2">
        <f>C23*1/D14</f>
        <v>2405970.1492537316</v>
      </c>
      <c r="N6" s="2">
        <f>C32*1/D14*1/D23</f>
        <v>4162235.5055190879</v>
      </c>
      <c r="P6" s="2">
        <f>C47*1/D14*1/D23*1/D32</f>
        <v>12385025.953546984</v>
      </c>
      <c r="R6" s="2">
        <f>C62*1/D14*1/D23*1/D32*1/D47</f>
        <v>6491271.7558579147</v>
      </c>
      <c r="U6" s="2">
        <f>C83*0.5/D62*1/D14*1/D23*1/D32*1/D47</f>
        <v>1408257.3314386276</v>
      </c>
    </row>
    <row r="7" spans="1:22" x14ac:dyDescent="0.2">
      <c r="A7" t="s">
        <v>26</v>
      </c>
      <c r="B7">
        <f>6.456*10^4</f>
        <v>64560.000000000007</v>
      </c>
      <c r="C7">
        <f t="shared" si="0"/>
        <v>645600.00000000012</v>
      </c>
      <c r="E7" s="3"/>
      <c r="J7" t="s">
        <v>26</v>
      </c>
      <c r="K7" s="2">
        <v>609633.33333333337</v>
      </c>
      <c r="L7" s="2">
        <f>C15</f>
        <v>3048000</v>
      </c>
      <c r="M7" s="2">
        <f>C24*1/D15</f>
        <v>5273780.4878048776</v>
      </c>
      <c r="N7" s="2">
        <f>C33*1/D15*1/D24</f>
        <v>16863254.69812075</v>
      </c>
      <c r="O7" s="2">
        <f>C39*1/D33*1/D15*1/D24</f>
        <v>41064655.218993485</v>
      </c>
      <c r="P7" s="2">
        <f>C48*1/D33*1/D15*1/D24*1/D39</f>
        <v>106720628.46338768</v>
      </c>
      <c r="Q7" s="2">
        <f>C54*1/D33*1/D15*1/D24*1/D39*1/D48</f>
        <v>247811205.98993465</v>
      </c>
      <c r="R7" s="2">
        <f>C63*1/D33*1/D15*1/D24*1/D39*1/D48*1/D54</f>
        <v>480136284.35878772</v>
      </c>
      <c r="S7" s="2">
        <f>C69*1/D33*1/D15*1/D24*1/D39*1/D48*1/D54*1/D63</f>
        <v>1063356251.9214343</v>
      </c>
      <c r="T7" s="2">
        <f>C75*1/D69*1/D33*1/D15*1/D24*1/D39*1/D48*1/D54*1/D63</f>
        <v>1992094256.3435676</v>
      </c>
      <c r="V7" s="2">
        <v>2818970703.0818443</v>
      </c>
    </row>
    <row r="8" spans="1:22" x14ac:dyDescent="0.2">
      <c r="A8" t="s">
        <v>26</v>
      </c>
      <c r="B8">
        <f>5.657*10^4</f>
        <v>56570</v>
      </c>
      <c r="C8">
        <f t="shared" si="0"/>
        <v>565700</v>
      </c>
      <c r="J8" t="s">
        <v>26</v>
      </c>
      <c r="K8" s="2">
        <v>609633.33333333337</v>
      </c>
      <c r="L8" s="2">
        <f>C16</f>
        <v>2943000</v>
      </c>
      <c r="M8" s="2">
        <f>C25*1/D16</f>
        <v>5545294.1176470583</v>
      </c>
      <c r="N8" s="2">
        <f>C34*1/D16*1/D25</f>
        <v>15496521.189120807</v>
      </c>
      <c r="O8" s="2">
        <f>C40*1/D34*1/D16*1/D25</f>
        <v>40927186.814004533</v>
      </c>
      <c r="P8" s="2">
        <f>C49*1/D34*1/D16*1/D25*1/D40</f>
        <v>113985805.38110909</v>
      </c>
      <c r="Q8" s="2">
        <f>C55*1/D34*1/D16*1/D25*1/D40*1/D49</f>
        <v>279194866.07746589</v>
      </c>
      <c r="R8" s="2">
        <f>C64*1/D34*1/D16*1/D25*1/D40*1/D49*1/D55</f>
        <v>536547956.91757894</v>
      </c>
      <c r="S8" s="2">
        <f>C70*1/D34*1/D16*1/D25*1/D40*1/D49*1/D55*1/D64</f>
        <v>1371825053.0247629</v>
      </c>
      <c r="T8" s="2">
        <f>C76*1/D70*1/D34*1/D16*1/D25*1/D40*1/D49*1/D55*1/D64</f>
        <v>1968670238.0952332</v>
      </c>
      <c r="V8" s="2">
        <v>2212794315.2851405</v>
      </c>
    </row>
    <row r="9" spans="1:22" x14ac:dyDescent="0.2">
      <c r="J9" t="s">
        <v>26</v>
      </c>
      <c r="K9" s="2">
        <v>609633.33333333337</v>
      </c>
      <c r="L9" s="2">
        <f>C17</f>
        <v>2928000</v>
      </c>
      <c r="M9" s="2">
        <f>C26*1/D17</f>
        <v>6064327.4853801159</v>
      </c>
      <c r="N9" s="2">
        <f>C35*1/D17*1/D26</f>
        <v>17002808.859418888</v>
      </c>
      <c r="O9" s="2">
        <f>C41*1/D35*1/D17*1/D26</f>
        <v>45776011.744661942</v>
      </c>
      <c r="P9" s="2">
        <f>C50*1/D35*1/D17*1/D26*1/D41</f>
        <v>144125256.8723864</v>
      </c>
      <c r="Q9" s="2">
        <f>C56*1/D35*1/D17*1/D26*1/D41*1/D50</f>
        <v>311069986.38125122</v>
      </c>
      <c r="R9" s="2">
        <f>C65*1/D35*1/D17*1/D26*1/D41*1/D50*1/D56</f>
        <v>771610535.98544526</v>
      </c>
      <c r="S9" s="2">
        <f>C71*1/D35*1/D17*1/D26*1/D41*1/D50*1/D56*1/D65</f>
        <v>1883869893.5813582</v>
      </c>
      <c r="T9" s="2">
        <f>C77*1/D71*1/D35*1/D17*1/D26*1/D41*1/D50*1/D56*1/D65</f>
        <v>3364558408.5750513</v>
      </c>
      <c r="V9" s="2">
        <v>4243967641.0558348</v>
      </c>
    </row>
    <row r="10" spans="1:22" x14ac:dyDescent="0.2">
      <c r="A10" s="1" t="s">
        <v>14</v>
      </c>
    </row>
    <row r="11" spans="1:22" x14ac:dyDescent="0.2">
      <c r="B11" t="s">
        <v>0</v>
      </c>
      <c r="C11" t="s">
        <v>1</v>
      </c>
      <c r="D11" t="s">
        <v>15</v>
      </c>
      <c r="E11" t="s">
        <v>16</v>
      </c>
      <c r="J11" s="1" t="s">
        <v>13</v>
      </c>
      <c r="K11" t="s">
        <v>2</v>
      </c>
      <c r="L11" t="s">
        <v>3</v>
      </c>
      <c r="M11" t="s">
        <v>4</v>
      </c>
      <c r="N11" t="s">
        <v>5</v>
      </c>
      <c r="O11" t="s">
        <v>6</v>
      </c>
      <c r="P11" t="s">
        <v>7</v>
      </c>
      <c r="Q11" t="s">
        <v>8</v>
      </c>
      <c r="R11" t="s">
        <v>9</v>
      </c>
      <c r="S11" t="s">
        <v>10</v>
      </c>
      <c r="T11" t="s">
        <v>11</v>
      </c>
      <c r="U11" t="s">
        <v>12</v>
      </c>
      <c r="V11" t="s">
        <v>27</v>
      </c>
    </row>
    <row r="12" spans="1:22" x14ac:dyDescent="0.2">
      <c r="A12" t="s">
        <v>25</v>
      </c>
      <c r="B12">
        <f>1.647*10^5</f>
        <v>164700</v>
      </c>
      <c r="C12" s="2">
        <f>B12*20/2</f>
        <v>1647000</v>
      </c>
      <c r="D12">
        <v>0.60599999999999998</v>
      </c>
      <c r="E12" s="2">
        <f>D12*C12</f>
        <v>998082</v>
      </c>
      <c r="J12" t="s">
        <v>25</v>
      </c>
      <c r="K12" s="4">
        <f>3.322*(LOG(K4)-LOG($K4))</f>
        <v>0</v>
      </c>
      <c r="L12" s="4">
        <f>3.322*(LOG(L4)-LOG($K4))</f>
        <v>1.5739146333777405</v>
      </c>
      <c r="M12" s="4">
        <f>3.322*(LOG(M4)-LOG($K4))</f>
        <v>2.1287783002503788</v>
      </c>
      <c r="N12" s="4">
        <f>3.322*(LOG(N4)-LOG($K4))</f>
        <v>3.0890845455366458</v>
      </c>
      <c r="P12" s="4">
        <f>3.322*(LOG(P4)-LOG($K4))</f>
        <v>4.4884477772205233</v>
      </c>
      <c r="R12" s="4">
        <f>3.322*(LOG(R4)-LOG($K4))</f>
        <v>3.2449539436917889</v>
      </c>
      <c r="S12" s="4"/>
      <c r="T12" s="4"/>
      <c r="U12" s="4">
        <f>3.322*(LOG(U4)-LOG($K4))</f>
        <v>0.66666281646159831</v>
      </c>
    </row>
    <row r="13" spans="1:22" x14ac:dyDescent="0.2">
      <c r="A13" t="s">
        <v>25</v>
      </c>
      <c r="B13">
        <f>1.461*10^5</f>
        <v>146100</v>
      </c>
      <c r="C13" s="2">
        <f t="shared" ref="C13:C17" si="1">B13*20/2</f>
        <v>1461000</v>
      </c>
      <c r="D13">
        <v>0.68600000000000005</v>
      </c>
      <c r="E13" s="2">
        <f t="shared" ref="E13:E17" si="2">D13*C13</f>
        <v>1002246.0000000001</v>
      </c>
      <c r="J13" t="s">
        <v>25</v>
      </c>
      <c r="K13" s="4">
        <f>3.322*(LOG(K5)-LOG($K5))</f>
        <v>0</v>
      </c>
      <c r="L13" s="4">
        <f>3.322*(LOG(L5)-LOG($K5))</f>
        <v>1.4010265142695524</v>
      </c>
      <c r="M13" s="4">
        <f>3.322*(LOG(M5)-LOG($K5))</f>
        <v>2.0780388348984853</v>
      </c>
      <c r="N13" s="4">
        <f>3.322*(LOG(N5)-LOG($K5))</f>
        <v>2.7382208922772486</v>
      </c>
      <c r="P13" s="4">
        <f>3.322*(LOG(P5)-LOG($K5))</f>
        <v>3.9908254294394965</v>
      </c>
      <c r="R13" s="4">
        <f>3.322*(LOG(R5)-LOG($K5))</f>
        <v>2.1687703871535531</v>
      </c>
      <c r="T13" s="4"/>
      <c r="U13" s="4">
        <f>3.322*(LOG(U5)-LOG($K5))</f>
        <v>-0.25033798091237602</v>
      </c>
    </row>
    <row r="14" spans="1:22" x14ac:dyDescent="0.2">
      <c r="A14" t="s">
        <v>25</v>
      </c>
      <c r="B14">
        <f>1.871*10^5</f>
        <v>187100</v>
      </c>
      <c r="C14" s="2">
        <f t="shared" si="1"/>
        <v>1871000</v>
      </c>
      <c r="D14">
        <v>0.53600000000000003</v>
      </c>
      <c r="E14" s="2">
        <f t="shared" si="2"/>
        <v>1002856.0000000001</v>
      </c>
      <c r="J14" t="s">
        <v>25</v>
      </c>
      <c r="K14" s="4">
        <f>3.322*(LOG(K6)-LOG($K6))</f>
        <v>0</v>
      </c>
      <c r="L14" s="4">
        <f>3.322*(LOG(L6)-LOG($K6))</f>
        <v>1.7578876190108503</v>
      </c>
      <c r="M14" s="4">
        <f>3.322*(LOG(M6)-LOG($K6))</f>
        <v>2.1207046568359296</v>
      </c>
      <c r="N14" s="4">
        <f>3.322*(LOG(N6)-LOG($K6))</f>
        <v>2.911461626917299</v>
      </c>
      <c r="P14" s="4">
        <f>3.322*(LOG(P6)-LOG($K6))</f>
        <v>4.4846620685387544</v>
      </c>
      <c r="R14" s="4">
        <f>3.322*(LOG(R6)-LOG($K6))</f>
        <v>3.5526180631947026</v>
      </c>
      <c r="T14" s="4"/>
      <c r="U14" s="4">
        <f>3.322*(LOG(U6)-LOG($K6))</f>
        <v>1.3479801702528746</v>
      </c>
    </row>
    <row r="15" spans="1:22" x14ac:dyDescent="0.2">
      <c r="A15" t="s">
        <v>26</v>
      </c>
      <c r="B15">
        <f>3.048*10^5</f>
        <v>304800</v>
      </c>
      <c r="C15" s="2">
        <f t="shared" si="1"/>
        <v>3048000</v>
      </c>
      <c r="D15">
        <v>0.32800000000000001</v>
      </c>
      <c r="E15" s="2">
        <f t="shared" si="2"/>
        <v>999744</v>
      </c>
      <c r="J15" t="s">
        <v>26</v>
      </c>
      <c r="K15" s="4">
        <f>3.322*(LOG(K7)-LOG($K7))</f>
        <v>0</v>
      </c>
      <c r="L15" s="4">
        <f>3.322*(LOG(L7)-LOG($K7))</f>
        <v>2.3218994673293589</v>
      </c>
      <c r="M15" s="4">
        <f>3.322*(LOG(M7)-LOG($K7))</f>
        <v>3.1128912083256086</v>
      </c>
      <c r="N15" s="4">
        <f>3.322*(LOG(N7)-LOG($K7))</f>
        <v>4.7899010905885691</v>
      </c>
      <c r="O15" s="4">
        <f>3.322*(LOG(O7)-LOG($K7))</f>
        <v>6.0739430580294718</v>
      </c>
      <c r="P15" s="4">
        <f>3.322*(LOG(P7)-LOG($K7))</f>
        <v>7.4518428600469058</v>
      </c>
      <c r="Q15" s="4">
        <f>3.322*(LOG(Q7)-LOG($K7))</f>
        <v>8.6672715280907777</v>
      </c>
      <c r="R15" s="4">
        <f>3.322*(LOG(R7)-LOG($K7))</f>
        <v>9.6214947209028665</v>
      </c>
      <c r="S15" s="4">
        <f>3.322*(LOG(S7)-LOG($K7))</f>
        <v>10.768628697795393</v>
      </c>
      <c r="T15" s="4">
        <f>3.322*(LOG(T7)-LOG($K7))</f>
        <v>11.674309193687852</v>
      </c>
      <c r="V15" s="4">
        <f>3.322*(LOG(V7)-LOG($K7))</f>
        <v>12.175202609546758</v>
      </c>
    </row>
    <row r="16" spans="1:22" x14ac:dyDescent="0.2">
      <c r="A16" t="s">
        <v>26</v>
      </c>
      <c r="B16">
        <f>2.943*10^5</f>
        <v>294300</v>
      </c>
      <c r="C16" s="2">
        <f t="shared" si="1"/>
        <v>2943000</v>
      </c>
      <c r="D16">
        <v>0.34</v>
      </c>
      <c r="E16" s="2">
        <f t="shared" si="2"/>
        <v>1000620.0000000001</v>
      </c>
      <c r="J16" t="s">
        <v>26</v>
      </c>
      <c r="K16" s="4">
        <f>3.322*(LOG(K8)-LOG($K8))</f>
        <v>0</v>
      </c>
      <c r="L16" s="4">
        <f>3.322*(LOG(L8)-LOG($K8))</f>
        <v>2.2713230120426222</v>
      </c>
      <c r="M16" s="4">
        <f>3.322*(LOG(M8)-LOG($K8))</f>
        <v>3.1853192350535764</v>
      </c>
      <c r="N16" s="4">
        <f>3.322*(LOG(N8)-LOG($K8))</f>
        <v>4.6679598216918947</v>
      </c>
      <c r="O16" s="4">
        <f>3.322*(LOG(O8)-LOG($K8))</f>
        <v>6.0691052727099155</v>
      </c>
      <c r="P16" s="4">
        <f>3.322*(LOG(P8)-LOG($K8))</f>
        <v>7.5468600263943486</v>
      </c>
      <c r="Q16" s="4">
        <f>3.322*(LOG(Q8)-LOG($K8))</f>
        <v>8.8393062374353182</v>
      </c>
      <c r="R16" s="4">
        <f>3.322*(LOG(R8)-LOG($K8))</f>
        <v>9.7817613494623057</v>
      </c>
      <c r="S16" s="4">
        <f>3.322*(LOG(S8)-LOG($K8))</f>
        <v>11.13610814214177</v>
      </c>
      <c r="T16" s="4">
        <f>3.322*(LOG(T8)-LOG($K8))</f>
        <v>11.657244386881649</v>
      </c>
      <c r="U16" s="4"/>
      <c r="V16" s="4">
        <f>3.322*(LOG(V8)-LOG($K8))</f>
        <v>11.825895919664639</v>
      </c>
    </row>
    <row r="17" spans="1:22" x14ac:dyDescent="0.2">
      <c r="A17" t="s">
        <v>26</v>
      </c>
      <c r="B17">
        <f>2.928*10^5</f>
        <v>292800</v>
      </c>
      <c r="C17" s="2">
        <f t="shared" si="1"/>
        <v>2928000</v>
      </c>
      <c r="D17">
        <v>0.34200000000000003</v>
      </c>
      <c r="E17" s="2">
        <f t="shared" si="2"/>
        <v>1001376.0000000001</v>
      </c>
      <c r="J17" t="s">
        <v>26</v>
      </c>
      <c r="K17" s="4">
        <f>3.322*(LOG(K9)-LOG($K9))</f>
        <v>0</v>
      </c>
      <c r="L17" s="4">
        <f>3.322*(LOG(L9)-LOG($K9))</f>
        <v>2.2639508638151833</v>
      </c>
      <c r="M17" s="4">
        <f>3.322*(LOG(M9)-LOG($K9))</f>
        <v>3.3144057113493748</v>
      </c>
      <c r="N17" s="4">
        <f>3.322*(LOG(N9)-LOG($K9))</f>
        <v>4.8017914358440965</v>
      </c>
      <c r="O17" s="4">
        <f>3.322*(LOG(O9)-LOG($K9))</f>
        <v>6.2306410375172883</v>
      </c>
      <c r="P17" s="4">
        <f>3.322*(LOG(P9)-LOG($K9))</f>
        <v>7.885336354746177</v>
      </c>
      <c r="Q17" s="4">
        <f>3.322*(LOG(Q9)-LOG($K9))</f>
        <v>8.9952764033774848</v>
      </c>
      <c r="R17" s="4">
        <f>3.322*(LOG(R9)-LOG($K9))</f>
        <v>10.30593841266746</v>
      </c>
      <c r="S17" s="4">
        <f>3.322*(LOG(S9)-LOG($K9))</f>
        <v>11.593720869912246</v>
      </c>
      <c r="T17" s="4">
        <f>3.322*(LOG(T9)-LOG($K9))</f>
        <v>12.430456816650588</v>
      </c>
      <c r="V17" s="4">
        <f>3.322*(LOG(V9)-LOG($K9))</f>
        <v>12.765460557558622</v>
      </c>
    </row>
    <row r="18" spans="1:22" x14ac:dyDescent="0.2">
      <c r="K18" s="4"/>
      <c r="L18" s="4"/>
      <c r="M18" s="4"/>
      <c r="N18" s="4"/>
      <c r="O18" s="4"/>
      <c r="P18" s="4"/>
      <c r="V18" s="4"/>
    </row>
    <row r="19" spans="1:22" x14ac:dyDescent="0.2">
      <c r="A19" s="1" t="s">
        <v>21</v>
      </c>
      <c r="K19" s="4"/>
      <c r="L19" s="4"/>
      <c r="M19" s="4"/>
      <c r="N19" s="4"/>
      <c r="O19" s="4"/>
      <c r="P19" s="4"/>
      <c r="V19" s="4"/>
    </row>
    <row r="20" spans="1:22" x14ac:dyDescent="0.2">
      <c r="B20" t="s">
        <v>0</v>
      </c>
      <c r="C20" t="s">
        <v>1</v>
      </c>
      <c r="D20" t="s">
        <v>15</v>
      </c>
      <c r="E20" t="s">
        <v>16</v>
      </c>
      <c r="K20" s="4"/>
      <c r="L20" s="4"/>
      <c r="M20" s="4"/>
      <c r="N20" s="4"/>
      <c r="O20" s="4"/>
      <c r="P20" s="4"/>
      <c r="V20" s="4"/>
    </row>
    <row r="21" spans="1:22" x14ac:dyDescent="0.2">
      <c r="A21" t="s">
        <v>25</v>
      </c>
      <c r="B21">
        <f>7.331*10^4</f>
        <v>73310</v>
      </c>
      <c r="C21" s="2">
        <f>B21*20</f>
        <v>1466200</v>
      </c>
      <c r="D21">
        <v>0.72</v>
      </c>
      <c r="E21" s="2">
        <f>D21*C21*0.95</f>
        <v>1002880.7999999999</v>
      </c>
      <c r="K21" s="2"/>
      <c r="L21" s="2"/>
      <c r="M21" s="2"/>
      <c r="N21" s="2"/>
      <c r="P21" s="2"/>
      <c r="R21" s="2"/>
      <c r="U21" s="2"/>
    </row>
    <row r="22" spans="1:22" x14ac:dyDescent="0.2">
      <c r="A22" t="s">
        <v>25</v>
      </c>
      <c r="B22">
        <f>8.012*10^4</f>
        <v>80120</v>
      </c>
      <c r="C22" s="2">
        <f t="shared" ref="C22:C26" si="3">B22*20</f>
        <v>1602400</v>
      </c>
      <c r="D22">
        <v>0.65800000000000003</v>
      </c>
      <c r="E22" s="2">
        <f t="shared" ref="E22:E26" si="4">D22*C22*0.95</f>
        <v>1001660.2399999999</v>
      </c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2" x14ac:dyDescent="0.2">
      <c r="A23" t="s">
        <v>25</v>
      </c>
      <c r="B23">
        <f>6.448*10^4</f>
        <v>64480.000000000007</v>
      </c>
      <c r="C23" s="2">
        <f t="shared" si="3"/>
        <v>1289600.0000000002</v>
      </c>
      <c r="D23">
        <v>0.81399999999999995</v>
      </c>
      <c r="E23" s="2">
        <f t="shared" si="4"/>
        <v>997247.68</v>
      </c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2" x14ac:dyDescent="0.2">
      <c r="A24" t="s">
        <v>26</v>
      </c>
      <c r="B24">
        <f>8.649*10^4</f>
        <v>86489.999999999985</v>
      </c>
      <c r="C24" s="2">
        <f t="shared" si="3"/>
        <v>1729799.9999999998</v>
      </c>
      <c r="D24">
        <v>0.61</v>
      </c>
      <c r="E24" s="2">
        <f t="shared" si="4"/>
        <v>1002419.0999999997</v>
      </c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2" x14ac:dyDescent="0.2">
      <c r="A25" t="s">
        <v>26</v>
      </c>
      <c r="B25">
        <f>9.427*10^4</f>
        <v>94270</v>
      </c>
      <c r="C25" s="2">
        <f t="shared" si="3"/>
        <v>1885400</v>
      </c>
      <c r="D25">
        <v>0.55800000000000005</v>
      </c>
      <c r="E25" s="2">
        <f t="shared" si="4"/>
        <v>999450.54000000015</v>
      </c>
      <c r="K25" s="2"/>
      <c r="L25" s="2"/>
      <c r="M25" s="2"/>
      <c r="N25" s="2"/>
      <c r="O25" s="2"/>
      <c r="P25" s="2"/>
      <c r="Q25" s="5"/>
    </row>
    <row r="26" spans="1:22" x14ac:dyDescent="0.2">
      <c r="A26" t="s">
        <v>26</v>
      </c>
      <c r="B26">
        <f>1.037*10^5</f>
        <v>103699.99999999999</v>
      </c>
      <c r="C26" s="2">
        <f t="shared" si="3"/>
        <v>2073999.9999999998</v>
      </c>
      <c r="D26">
        <v>0.50800000000000001</v>
      </c>
      <c r="E26" s="2">
        <f t="shared" si="4"/>
        <v>1000912.3999999999</v>
      </c>
      <c r="K26" s="2"/>
      <c r="L26" s="2"/>
      <c r="M26" s="2"/>
      <c r="N26" s="2"/>
      <c r="O26" s="2"/>
      <c r="P26" s="2"/>
      <c r="Q26" s="5"/>
    </row>
    <row r="27" spans="1:22" x14ac:dyDescent="0.2">
      <c r="K27" s="2"/>
      <c r="L27" s="2"/>
      <c r="M27" s="2"/>
      <c r="N27" s="2"/>
      <c r="O27" s="2"/>
      <c r="P27" s="2"/>
      <c r="Q27" s="5"/>
    </row>
    <row r="28" spans="1:22" x14ac:dyDescent="0.2">
      <c r="A28" s="1" t="s">
        <v>17</v>
      </c>
    </row>
    <row r="29" spans="1:22" x14ac:dyDescent="0.2">
      <c r="B29" t="s">
        <v>0</v>
      </c>
      <c r="C29" t="s">
        <v>1</v>
      </c>
      <c r="D29" t="s">
        <v>15</v>
      </c>
      <c r="E29" t="s">
        <v>16</v>
      </c>
      <c r="L29" s="4"/>
      <c r="M29" s="4"/>
    </row>
    <row r="30" spans="1:22" x14ac:dyDescent="0.2">
      <c r="A30" t="s">
        <v>25</v>
      </c>
      <c r="B30">
        <f>1.027*10^5</f>
        <v>102699.99999999999</v>
      </c>
      <c r="C30" s="2">
        <f>B30*20</f>
        <v>2053999.9999999998</v>
      </c>
      <c r="D30">
        <v>0.48799999999999999</v>
      </c>
      <c r="E30" s="2">
        <f>D30*C30</f>
        <v>1002351.9999999999</v>
      </c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2" x14ac:dyDescent="0.2">
      <c r="A31" t="s">
        <v>25</v>
      </c>
      <c r="B31">
        <f>8.331*10^4</f>
        <v>83310</v>
      </c>
      <c r="C31" s="2">
        <f t="shared" ref="C31:C35" si="5">B31*20</f>
        <v>1666200</v>
      </c>
      <c r="D31">
        <v>0.6</v>
      </c>
      <c r="E31" s="2">
        <f t="shared" ref="E31:E35" si="6">D31*C31</f>
        <v>999720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2" x14ac:dyDescent="0.2">
      <c r="A32" t="s">
        <v>25</v>
      </c>
      <c r="B32">
        <f>9.08*10^4</f>
        <v>90800</v>
      </c>
      <c r="C32" s="2">
        <f t="shared" si="5"/>
        <v>1816000</v>
      </c>
      <c r="D32">
        <v>0.55000000000000004</v>
      </c>
      <c r="E32" s="2">
        <f t="shared" si="6"/>
        <v>998800.00000000012</v>
      </c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17" x14ac:dyDescent="0.2">
      <c r="A33" t="s">
        <v>26</v>
      </c>
      <c r="B33">
        <f>1.687*10^5</f>
        <v>168700</v>
      </c>
      <c r="C33" s="2">
        <f t="shared" si="5"/>
        <v>3374000</v>
      </c>
      <c r="D33">
        <v>0.29599999999999999</v>
      </c>
      <c r="E33" s="2">
        <f t="shared" si="6"/>
        <v>998704</v>
      </c>
      <c r="K33" s="4"/>
      <c r="L33" s="4"/>
      <c r="M33" s="4"/>
      <c r="N33" s="4"/>
      <c r="O33" s="4"/>
      <c r="P33" s="4"/>
      <c r="Q33" s="5"/>
    </row>
    <row r="34" spans="1:17" x14ac:dyDescent="0.2">
      <c r="A34" t="s">
        <v>26</v>
      </c>
      <c r="B34">
        <f>1.47*10^5</f>
        <v>147000</v>
      </c>
      <c r="C34" s="2">
        <f t="shared" si="5"/>
        <v>2940000</v>
      </c>
      <c r="D34">
        <v>0.34</v>
      </c>
      <c r="E34" s="2">
        <f t="shared" si="6"/>
        <v>999600.00000000012</v>
      </c>
      <c r="K34" s="4"/>
      <c r="L34" s="4"/>
      <c r="M34" s="4"/>
      <c r="N34" s="4"/>
      <c r="O34" s="4"/>
      <c r="P34" s="4"/>
      <c r="Q34" s="5"/>
    </row>
    <row r="35" spans="1:17" x14ac:dyDescent="0.2">
      <c r="A35" t="s">
        <v>26</v>
      </c>
      <c r="B35">
        <f>1.477*10^5</f>
        <v>147700</v>
      </c>
      <c r="C35" s="2">
        <f t="shared" si="5"/>
        <v>2954000</v>
      </c>
      <c r="D35">
        <v>0.34</v>
      </c>
      <c r="E35" s="2">
        <f t="shared" si="6"/>
        <v>1004360.0000000001</v>
      </c>
      <c r="K35" s="4"/>
      <c r="L35" s="4"/>
      <c r="M35" s="4"/>
      <c r="N35" s="4"/>
      <c r="O35" s="4"/>
      <c r="P35" s="4"/>
      <c r="Q35" s="5"/>
    </row>
    <row r="37" spans="1:17" x14ac:dyDescent="0.2">
      <c r="A37" s="1" t="s">
        <v>28</v>
      </c>
      <c r="L37" s="4"/>
      <c r="M37" s="4"/>
    </row>
    <row r="38" spans="1:17" x14ac:dyDescent="0.2">
      <c r="B38" t="s">
        <v>0</v>
      </c>
      <c r="C38" t="s">
        <v>1</v>
      </c>
      <c r="D38" t="s">
        <v>15</v>
      </c>
      <c r="E38" t="s">
        <v>16</v>
      </c>
      <c r="L38" s="4"/>
      <c r="M38" s="4"/>
    </row>
    <row r="39" spans="1:17" x14ac:dyDescent="0.2">
      <c r="A39" t="s">
        <v>26</v>
      </c>
      <c r="B39">
        <f>1.216*10^5</f>
        <v>121600</v>
      </c>
      <c r="C39" s="2">
        <f>B39*20</f>
        <v>2432000</v>
      </c>
      <c r="D39">
        <v>0.41199999999999998</v>
      </c>
      <c r="E39" s="2">
        <f>D39*C39</f>
        <v>1001984</v>
      </c>
      <c r="L39" s="4"/>
      <c r="M39" s="4"/>
    </row>
    <row r="40" spans="1:17" x14ac:dyDescent="0.2">
      <c r="A40" t="s">
        <v>26</v>
      </c>
      <c r="B40">
        <f>1.32*10^5</f>
        <v>132000</v>
      </c>
      <c r="C40" s="2">
        <f t="shared" ref="C40:C41" si="7">B40*20</f>
        <v>2640000</v>
      </c>
      <c r="D40">
        <v>0.38</v>
      </c>
      <c r="E40" s="2">
        <f t="shared" ref="E40:E41" si="8">D40*C40</f>
        <v>1003200</v>
      </c>
      <c r="L40" s="4"/>
      <c r="M40" s="4"/>
    </row>
    <row r="41" spans="1:17" x14ac:dyDescent="0.2">
      <c r="A41" t="s">
        <v>26</v>
      </c>
      <c r="B41">
        <f>1.352*10^5</f>
        <v>135200</v>
      </c>
      <c r="C41" s="2">
        <f t="shared" si="7"/>
        <v>2704000</v>
      </c>
      <c r="D41">
        <v>0.37</v>
      </c>
      <c r="E41" s="2">
        <f t="shared" si="8"/>
        <v>1000480</v>
      </c>
      <c r="L41" s="4"/>
      <c r="M41" s="4"/>
    </row>
    <row r="42" spans="1:17" x14ac:dyDescent="0.2">
      <c r="L42" s="4"/>
      <c r="M42" s="4"/>
    </row>
    <row r="43" spans="1:17" x14ac:dyDescent="0.2">
      <c r="A43" s="1" t="s">
        <v>29</v>
      </c>
      <c r="M43" s="4"/>
    </row>
    <row r="44" spans="1:17" x14ac:dyDescent="0.2">
      <c r="B44" t="s">
        <v>0</v>
      </c>
      <c r="C44" t="s">
        <v>1</v>
      </c>
      <c r="D44" t="s">
        <v>15</v>
      </c>
      <c r="E44" t="s">
        <v>16</v>
      </c>
      <c r="M44" s="4"/>
    </row>
    <row r="45" spans="1:17" x14ac:dyDescent="0.2">
      <c r="A45" t="s">
        <v>25</v>
      </c>
      <c r="B45">
        <f>1.322*10^5</f>
        <v>132200</v>
      </c>
      <c r="C45" s="2">
        <f>B45*20</f>
        <v>2644000</v>
      </c>
      <c r="D45">
        <f>0.38</f>
        <v>0.38</v>
      </c>
      <c r="E45" s="2">
        <f>D45*C45</f>
        <v>1004720</v>
      </c>
      <c r="F45" s="2"/>
      <c r="M45" s="4"/>
    </row>
    <row r="46" spans="1:17" x14ac:dyDescent="0.2">
      <c r="A46" t="s">
        <v>25</v>
      </c>
      <c r="B46">
        <f>1.191*10^5</f>
        <v>119100</v>
      </c>
      <c r="C46" s="2">
        <f t="shared" ref="C46:C50" si="9">B46*20</f>
        <v>2382000</v>
      </c>
      <c r="D46">
        <v>0.42</v>
      </c>
      <c r="E46" s="2">
        <f t="shared" ref="E46:E50" si="10">D46*C46</f>
        <v>1000440</v>
      </c>
      <c r="F46" s="2"/>
      <c r="M46" s="4"/>
    </row>
    <row r="47" spans="1:17" x14ac:dyDescent="0.2">
      <c r="A47" t="s">
        <v>25</v>
      </c>
      <c r="B47">
        <f>1.486*10^5</f>
        <v>148600</v>
      </c>
      <c r="C47" s="2">
        <f t="shared" si="9"/>
        <v>2972000</v>
      </c>
      <c r="D47">
        <v>0.33800000000000002</v>
      </c>
      <c r="E47" s="2">
        <f t="shared" si="10"/>
        <v>1004536.0000000001</v>
      </c>
      <c r="F47" s="2"/>
      <c r="M47" s="4"/>
    </row>
    <row r="48" spans="1:17" x14ac:dyDescent="0.2">
      <c r="A48" t="s">
        <v>26</v>
      </c>
      <c r="B48">
        <f>1.302*10^5</f>
        <v>130200</v>
      </c>
      <c r="C48" s="2">
        <f t="shared" si="9"/>
        <v>2604000</v>
      </c>
      <c r="D48">
        <v>0.38600000000000001</v>
      </c>
      <c r="E48" s="2">
        <f t="shared" si="10"/>
        <v>1005144</v>
      </c>
      <c r="F48" s="2"/>
      <c r="M48" s="4"/>
    </row>
    <row r="49" spans="1:13" x14ac:dyDescent="0.2">
      <c r="A49" t="s">
        <v>26</v>
      </c>
      <c r="B49">
        <f>1.397*10^5</f>
        <v>139700</v>
      </c>
      <c r="C49" s="2">
        <f t="shared" si="9"/>
        <v>2794000</v>
      </c>
      <c r="D49">
        <v>0.35799999999999998</v>
      </c>
      <c r="E49" s="2">
        <f t="shared" si="10"/>
        <v>1000252</v>
      </c>
      <c r="F49" s="2"/>
      <c r="M49" s="4"/>
    </row>
    <row r="50" spans="1:13" x14ac:dyDescent="0.2">
      <c r="A50" t="s">
        <v>26</v>
      </c>
      <c r="B50">
        <f>1.575*10^5</f>
        <v>157500</v>
      </c>
      <c r="C50" s="2">
        <f t="shared" si="9"/>
        <v>3150000</v>
      </c>
      <c r="D50">
        <v>0.318</v>
      </c>
      <c r="E50" s="2">
        <f t="shared" si="10"/>
        <v>1001700</v>
      </c>
      <c r="F50" s="2"/>
    </row>
    <row r="52" spans="1:13" x14ac:dyDescent="0.2">
      <c r="A52" s="1" t="s">
        <v>30</v>
      </c>
    </row>
    <row r="53" spans="1:13" x14ac:dyDescent="0.2">
      <c r="B53" t="s">
        <v>0</v>
      </c>
      <c r="C53" t="s">
        <v>1</v>
      </c>
      <c r="D53" t="s">
        <v>15</v>
      </c>
      <c r="E53" t="s">
        <v>16</v>
      </c>
    </row>
    <row r="54" spans="1:13" x14ac:dyDescent="0.2">
      <c r="A54" t="s">
        <v>26</v>
      </c>
      <c r="B54">
        <f>1.167*10^5</f>
        <v>116700</v>
      </c>
      <c r="C54" s="2">
        <f>B54*20</f>
        <v>2334000</v>
      </c>
      <c r="D54">
        <v>0.42899999999999999</v>
      </c>
      <c r="E54" s="2">
        <f>D54*C54</f>
        <v>1001286</v>
      </c>
    </row>
    <row r="55" spans="1:13" x14ac:dyDescent="0.2">
      <c r="A55" t="s">
        <v>26</v>
      </c>
      <c r="B55">
        <f>1.225*10^5</f>
        <v>122500.00000000001</v>
      </c>
      <c r="C55" s="2">
        <f t="shared" ref="C55:C56" si="11">B55*20</f>
        <v>2450000.0000000005</v>
      </c>
      <c r="D55">
        <v>0.40799999999999997</v>
      </c>
      <c r="E55" s="2">
        <f t="shared" ref="E55:E56" si="12">D55*C55</f>
        <v>999600.00000000012</v>
      </c>
    </row>
    <row r="56" spans="1:13" x14ac:dyDescent="0.2">
      <c r="A56" t="s">
        <v>26</v>
      </c>
      <c r="B56">
        <f>1.081*10^5</f>
        <v>108100</v>
      </c>
      <c r="C56" s="2">
        <f t="shared" si="11"/>
        <v>2162000</v>
      </c>
      <c r="D56">
        <v>0.46300000000000002</v>
      </c>
      <c r="E56" s="2">
        <f t="shared" si="12"/>
        <v>1001006</v>
      </c>
    </row>
    <row r="58" spans="1:13" x14ac:dyDescent="0.2">
      <c r="A58" s="1" t="s">
        <v>31</v>
      </c>
    </row>
    <row r="59" spans="1:13" x14ac:dyDescent="0.2">
      <c r="B59" t="s">
        <v>0</v>
      </c>
      <c r="C59" t="s">
        <v>1</v>
      </c>
      <c r="D59" t="s">
        <v>15</v>
      </c>
      <c r="E59" t="s">
        <v>16</v>
      </c>
    </row>
    <row r="60" spans="1:13" x14ac:dyDescent="0.2">
      <c r="A60" t="s">
        <v>25</v>
      </c>
      <c r="B60">
        <f>8.487*10^4</f>
        <v>84870</v>
      </c>
      <c r="C60" s="2">
        <f>B60*10/2</f>
        <v>424350</v>
      </c>
      <c r="D60">
        <v>0.45</v>
      </c>
      <c r="E60" s="2">
        <f>D60*2*C60</f>
        <v>381915</v>
      </c>
      <c r="F60" t="s">
        <v>18</v>
      </c>
    </row>
    <row r="61" spans="1:13" x14ac:dyDescent="0.2">
      <c r="A61" t="s">
        <v>25</v>
      </c>
      <c r="B61">
        <f>5.659*10^4</f>
        <v>56590</v>
      </c>
      <c r="C61" s="2">
        <f>B61*10/2</f>
        <v>282950</v>
      </c>
      <c r="D61">
        <v>0.45</v>
      </c>
      <c r="E61" s="2">
        <f t="shared" ref="E61:E62" si="13">D61*2*C61</f>
        <v>254655</v>
      </c>
      <c r="F61" t="s">
        <v>18</v>
      </c>
    </row>
    <row r="62" spans="1:13" x14ac:dyDescent="0.2">
      <c r="A62" t="s">
        <v>25</v>
      </c>
      <c r="B62">
        <f>1.053*10^5</f>
        <v>105300</v>
      </c>
      <c r="C62" s="2">
        <f>B62*10/2</f>
        <v>526500</v>
      </c>
      <c r="D62">
        <v>0.45</v>
      </c>
      <c r="E62" s="2">
        <f t="shared" si="13"/>
        <v>473850</v>
      </c>
      <c r="F62" t="s">
        <v>18</v>
      </c>
    </row>
    <row r="63" spans="1:13" x14ac:dyDescent="0.2">
      <c r="A63" t="s">
        <v>26</v>
      </c>
      <c r="B63">
        <f>1.94*10^5</f>
        <v>194000</v>
      </c>
      <c r="C63" s="2">
        <f>B63*20/2</f>
        <v>1940000</v>
      </c>
      <c r="D63">
        <v>0.51600000000000001</v>
      </c>
      <c r="E63" s="2">
        <f>D63*C63</f>
        <v>1001040</v>
      </c>
    </row>
    <row r="64" spans="1:13" x14ac:dyDescent="0.2">
      <c r="A64" t="s">
        <v>26</v>
      </c>
      <c r="B64">
        <f>1.921*10^5</f>
        <v>192100</v>
      </c>
      <c r="C64" s="2">
        <f t="shared" ref="C64:C65" si="14">B64*20/2</f>
        <v>1921000</v>
      </c>
      <c r="D64">
        <v>0.52</v>
      </c>
      <c r="E64" s="2">
        <f t="shared" ref="E64:E65" si="15">D64*C64</f>
        <v>998920</v>
      </c>
    </row>
    <row r="65" spans="1:12" x14ac:dyDescent="0.2">
      <c r="A65" t="s">
        <v>26</v>
      </c>
      <c r="B65">
        <f>2.483*10^5</f>
        <v>248300</v>
      </c>
      <c r="C65" s="2">
        <f t="shared" si="14"/>
        <v>2483000</v>
      </c>
      <c r="D65">
        <v>0.40200000000000002</v>
      </c>
      <c r="E65" s="2">
        <f t="shared" si="15"/>
        <v>998166.00000000012</v>
      </c>
    </row>
    <row r="67" spans="1:12" x14ac:dyDescent="0.2">
      <c r="A67" s="1" t="s">
        <v>32</v>
      </c>
      <c r="C67" s="6"/>
    </row>
    <row r="68" spans="1:12" x14ac:dyDescent="0.2">
      <c r="B68" t="s">
        <v>0</v>
      </c>
      <c r="C68" t="s">
        <v>1</v>
      </c>
      <c r="D68" t="s">
        <v>15</v>
      </c>
      <c r="E68" t="s">
        <v>16</v>
      </c>
    </row>
    <row r="69" spans="1:12" x14ac:dyDescent="0.2">
      <c r="A69" t="s">
        <v>26</v>
      </c>
      <c r="B69">
        <f>2.217*10^5</f>
        <v>221700</v>
      </c>
      <c r="C69" s="2">
        <f>B69*20/2</f>
        <v>2217000</v>
      </c>
      <c r="D69">
        <v>0.45</v>
      </c>
      <c r="E69" s="2">
        <f>D69*C69</f>
        <v>997650</v>
      </c>
    </row>
    <row r="70" spans="1:12" x14ac:dyDescent="0.2">
      <c r="A70" t="s">
        <v>26</v>
      </c>
      <c r="B70">
        <f>2.554*10^5</f>
        <v>255399.99999999997</v>
      </c>
      <c r="C70" s="2">
        <f t="shared" ref="C70:C71" si="16">B70*20/2</f>
        <v>2553999.9999999995</v>
      </c>
      <c r="D70">
        <v>0.39200000000000002</v>
      </c>
      <c r="E70" s="2">
        <f t="shared" ref="E70:E71" si="17">D70*C70</f>
        <v>1001167.9999999999</v>
      </c>
    </row>
    <row r="71" spans="1:12" x14ac:dyDescent="0.2">
      <c r="A71" t="s">
        <v>26</v>
      </c>
      <c r="B71">
        <f>2.437*10^5</f>
        <v>243699.99999999997</v>
      </c>
      <c r="C71" s="2">
        <f t="shared" si="16"/>
        <v>2436999.9999999995</v>
      </c>
      <c r="D71">
        <v>0.41</v>
      </c>
      <c r="E71" s="2">
        <f t="shared" si="17"/>
        <v>999169.99999999977</v>
      </c>
    </row>
    <row r="73" spans="1:12" x14ac:dyDescent="0.2">
      <c r="A73" s="1" t="s">
        <v>33</v>
      </c>
    </row>
    <row r="74" spans="1:12" x14ac:dyDescent="0.2">
      <c r="B74" t="s">
        <v>0</v>
      </c>
      <c r="C74" t="s">
        <v>1</v>
      </c>
      <c r="D74" t="s">
        <v>15</v>
      </c>
      <c r="E74" t="s">
        <v>16</v>
      </c>
    </row>
    <row r="75" spans="1:12" x14ac:dyDescent="0.2">
      <c r="A75" t="s">
        <v>26</v>
      </c>
      <c r="B75">
        <f>7.476*10^4</f>
        <v>74760</v>
      </c>
      <c r="C75" s="2">
        <f>B75*50/2</f>
        <v>1869000</v>
      </c>
      <c r="D75">
        <v>0.53500000000000003</v>
      </c>
      <c r="E75" s="2">
        <f>D75*C75</f>
        <v>999915</v>
      </c>
    </row>
    <row r="76" spans="1:12" x14ac:dyDescent="0.2">
      <c r="A76" t="s">
        <v>26</v>
      </c>
      <c r="B76">
        <f>5.747*10^4</f>
        <v>57470</v>
      </c>
      <c r="C76" s="2">
        <f t="shared" ref="C76:C77" si="18">B76*50/2</f>
        <v>1436750</v>
      </c>
      <c r="D76">
        <v>0.69399999999999995</v>
      </c>
      <c r="E76" s="2">
        <f t="shared" ref="E76:E77" si="19">D76*C76</f>
        <v>997104.49999999988</v>
      </c>
    </row>
    <row r="77" spans="1:12" x14ac:dyDescent="0.2">
      <c r="A77" t="s">
        <v>26</v>
      </c>
      <c r="B77">
        <f>7.138*10^4</f>
        <v>71380</v>
      </c>
      <c r="C77" s="2">
        <f t="shared" si="18"/>
        <v>1784500</v>
      </c>
      <c r="D77">
        <v>0.56200000000000006</v>
      </c>
      <c r="E77" s="2">
        <f t="shared" si="19"/>
        <v>1002889.0000000001</v>
      </c>
    </row>
    <row r="78" spans="1:12" x14ac:dyDescent="0.2">
      <c r="J78" s="2"/>
    </row>
    <row r="79" spans="1:12" x14ac:dyDescent="0.2">
      <c r="A79" s="1" t="s">
        <v>34</v>
      </c>
      <c r="C79" s="2"/>
      <c r="J79" s="2"/>
    </row>
    <row r="80" spans="1:12" x14ac:dyDescent="0.2">
      <c r="B80" t="s">
        <v>0</v>
      </c>
      <c r="C80" t="s">
        <v>1</v>
      </c>
      <c r="D80" t="s">
        <v>15</v>
      </c>
      <c r="E80" t="s">
        <v>16</v>
      </c>
      <c r="J80" s="2"/>
      <c r="L80" s="2"/>
    </row>
    <row r="81" spans="1:12" x14ac:dyDescent="0.2">
      <c r="A81" t="s">
        <v>25</v>
      </c>
      <c r="B81">
        <f>1.279*10^4</f>
        <v>12790</v>
      </c>
      <c r="C81">
        <f>B81*10/2</f>
        <v>63950</v>
      </c>
      <c r="D81" t="s">
        <v>19</v>
      </c>
      <c r="E81" t="s">
        <v>24</v>
      </c>
      <c r="L81" s="2"/>
    </row>
    <row r="82" spans="1:12" x14ac:dyDescent="0.2">
      <c r="A82" t="s">
        <v>25</v>
      </c>
      <c r="B82">
        <f>9.523*10^3</f>
        <v>9523</v>
      </c>
      <c r="C82">
        <f t="shared" ref="C82:C83" si="20">B82*10/2</f>
        <v>47615</v>
      </c>
      <c r="D82" t="s">
        <v>19</v>
      </c>
      <c r="E82" t="s">
        <v>24</v>
      </c>
      <c r="J82" s="2"/>
      <c r="L82" s="2"/>
    </row>
    <row r="83" spans="1:12" x14ac:dyDescent="0.2">
      <c r="A83" t="s">
        <v>25</v>
      </c>
      <c r="B83">
        <f>2.056*10^4</f>
        <v>20560</v>
      </c>
      <c r="C83">
        <f t="shared" si="20"/>
        <v>102800</v>
      </c>
      <c r="D83" t="s">
        <v>19</v>
      </c>
      <c r="E83" t="s">
        <v>24</v>
      </c>
    </row>
    <row r="85" spans="1:12" x14ac:dyDescent="0.2">
      <c r="A85" s="1" t="s">
        <v>35</v>
      </c>
    </row>
    <row r="86" spans="1:12" x14ac:dyDescent="0.2">
      <c r="B86" t="s">
        <v>0</v>
      </c>
      <c r="C86" t="s">
        <v>1</v>
      </c>
      <c r="D86" t="s">
        <v>20</v>
      </c>
      <c r="E86" t="s">
        <v>16</v>
      </c>
    </row>
    <row r="87" spans="1:12" x14ac:dyDescent="0.2">
      <c r="A87" t="s">
        <v>26</v>
      </c>
      <c r="B87">
        <f>4.08*10^4</f>
        <v>40800</v>
      </c>
      <c r="C87">
        <f>B87*50/2</f>
        <v>1020000</v>
      </c>
      <c r="D87">
        <f>C87*0.5</f>
        <v>510000</v>
      </c>
      <c r="E87" t="s">
        <v>24</v>
      </c>
    </row>
    <row r="88" spans="1:12" x14ac:dyDescent="0.2">
      <c r="A88" t="s">
        <v>26</v>
      </c>
      <c r="B88">
        <f>4.752*10^4</f>
        <v>47520</v>
      </c>
      <c r="C88">
        <f t="shared" ref="C88:C89" si="21">B88*50/2</f>
        <v>1188000</v>
      </c>
      <c r="D88">
        <f t="shared" ref="D88:D89" si="22">C88*0.5</f>
        <v>594000</v>
      </c>
      <c r="E88" t="s">
        <v>24</v>
      </c>
    </row>
    <row r="89" spans="1:12" x14ac:dyDescent="0.2">
      <c r="A89" t="s">
        <v>26</v>
      </c>
      <c r="B89">
        <f>4.423*10^4</f>
        <v>44230</v>
      </c>
      <c r="C89">
        <f t="shared" si="21"/>
        <v>1105750</v>
      </c>
      <c r="D89">
        <f t="shared" si="22"/>
        <v>552875</v>
      </c>
      <c r="E8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Trolle</dc:creator>
  <cp:lastModifiedBy>Julie Trolle</cp:lastModifiedBy>
  <dcterms:created xsi:type="dcterms:W3CDTF">2022-07-27T19:26:43Z</dcterms:created>
  <dcterms:modified xsi:type="dcterms:W3CDTF">2022-07-27T19:50:52Z</dcterms:modified>
</cp:coreProperties>
</file>